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LactateEnduranceMarkersAnalysis" sheetId="1" r:id="rId1"/>
    <sheet name="Sheet1" sheetId="2" state="veryHidden" r:id="rId2"/>
  </sheets>
  <definedNames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'Sheet1'!$O$11</definedName>
    <definedName name="solver_lhs10" localSheetId="1" hidden="1">'Sheet1'!$O$11</definedName>
    <definedName name="solver_lhs11" localSheetId="1" hidden="1">'Sheet1'!$O$11</definedName>
    <definedName name="solver_lhs12" localSheetId="1" hidden="1">'Sheet1'!$O$11</definedName>
    <definedName name="solver_lhs13" localSheetId="1" hidden="1">'Sheet1'!$O$11</definedName>
    <definedName name="solver_lhs14" localSheetId="1" hidden="1">'Sheet1'!$O$11</definedName>
    <definedName name="solver_lhs15" localSheetId="1" hidden="1">'Sheet1'!$O$11</definedName>
    <definedName name="solver_lhs16" localSheetId="1" hidden="1">'Sheet1'!$O$11</definedName>
    <definedName name="solver_lhs17" localSheetId="1" hidden="1">'Sheet1'!$O$11</definedName>
    <definedName name="solver_lhs18" localSheetId="1" hidden="1">'Sheet1'!$O$11</definedName>
    <definedName name="solver_lhs19" localSheetId="1" hidden="1">'Sheet1'!$O$11</definedName>
    <definedName name="solver_lhs2" localSheetId="1" hidden="1">'Sheet1'!$O$11</definedName>
    <definedName name="solver_lhs20" localSheetId="1" hidden="1">'Sheet1'!$O$11</definedName>
    <definedName name="solver_lhs21" localSheetId="1" hidden="1">'Sheet1'!$O$11</definedName>
    <definedName name="solver_lhs22" localSheetId="1" hidden="1">'Sheet1'!$O$11</definedName>
    <definedName name="solver_lhs23" localSheetId="1" hidden="1">'Sheet1'!$O$11</definedName>
    <definedName name="solver_lhs24" localSheetId="1" hidden="1">'Sheet1'!$O$11</definedName>
    <definedName name="solver_lhs25" localSheetId="1" hidden="1">'Sheet1'!$O$11</definedName>
    <definedName name="solver_lhs26" localSheetId="1" hidden="1">'Sheet1'!$O$11</definedName>
    <definedName name="solver_lhs27" localSheetId="1" hidden="1">'Sheet1'!$O$11</definedName>
    <definedName name="solver_lhs28" localSheetId="1" hidden="1">'Sheet1'!$O$11</definedName>
    <definedName name="solver_lhs29" localSheetId="1" hidden="1">'Sheet1'!$O$11</definedName>
    <definedName name="solver_lhs3" localSheetId="1" hidden="1">'Sheet1'!$O$11</definedName>
    <definedName name="solver_lhs30" localSheetId="1" hidden="1">'Sheet1'!$O$11</definedName>
    <definedName name="solver_lhs31" localSheetId="1" hidden="1">'Sheet1'!$O$11</definedName>
    <definedName name="solver_lhs32" localSheetId="1" hidden="1">'Sheet1'!$O$11</definedName>
    <definedName name="solver_lhs33" localSheetId="1" hidden="1">'Sheet1'!$O$11</definedName>
    <definedName name="solver_lhs34" localSheetId="1" hidden="1">'Sheet1'!$O$11</definedName>
    <definedName name="solver_lhs4" localSheetId="1" hidden="1">'Sheet1'!$O$11</definedName>
    <definedName name="solver_lhs5" localSheetId="1" hidden="1">'Sheet1'!$O$11</definedName>
    <definedName name="solver_lhs6" localSheetId="1" hidden="1">'Sheet1'!$O$11</definedName>
    <definedName name="solver_lhs7" localSheetId="1" hidden="1">'Sheet1'!$O$11</definedName>
    <definedName name="solver_lhs8" localSheetId="1" hidden="1">'Sheet1'!$O$11</definedName>
    <definedName name="solver_lhs9" localSheetId="1" hidden="1">'Sheet1'!$O$11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rel1" localSheetId="1" hidden="1">3</definedName>
    <definedName name="solver_rel10" localSheetId="1" hidden="1">3</definedName>
    <definedName name="solver_rel11" localSheetId="1" hidden="1">3</definedName>
    <definedName name="solver_rel12" localSheetId="1" hidden="1">3</definedName>
    <definedName name="solver_rel13" localSheetId="1" hidden="1">3</definedName>
    <definedName name="solver_rel14" localSheetId="1" hidden="1">3</definedName>
    <definedName name="solver_rel15" localSheetId="1" hidden="1">3</definedName>
    <definedName name="solver_rel16" localSheetId="1" hidden="1">3</definedName>
    <definedName name="solver_rel17" localSheetId="1" hidden="1">3</definedName>
    <definedName name="solver_rel18" localSheetId="1" hidden="1">3</definedName>
    <definedName name="solver_rel19" localSheetId="1" hidden="1">3</definedName>
    <definedName name="solver_rel2" localSheetId="1" hidden="1">3</definedName>
    <definedName name="solver_rel20" localSheetId="1" hidden="1">3</definedName>
    <definedName name="solver_rel21" localSheetId="1" hidden="1">3</definedName>
    <definedName name="solver_rel22" localSheetId="1" hidden="1">3</definedName>
    <definedName name="solver_rel23" localSheetId="1" hidden="1">3</definedName>
    <definedName name="solver_rel24" localSheetId="1" hidden="1">3</definedName>
    <definedName name="solver_rel25" localSheetId="1" hidden="1">3</definedName>
    <definedName name="solver_rel26" localSheetId="1" hidden="1">3</definedName>
    <definedName name="solver_rel27" localSheetId="1" hidden="1">3</definedName>
    <definedName name="solver_rel28" localSheetId="1" hidden="1">3</definedName>
    <definedName name="solver_rel29" localSheetId="1" hidden="1">3</definedName>
    <definedName name="solver_rel3" localSheetId="1" hidden="1">3</definedName>
    <definedName name="solver_rel30" localSheetId="1" hidden="1">3</definedName>
    <definedName name="solver_rel31" localSheetId="1" hidden="1">3</definedName>
    <definedName name="solver_rel32" localSheetId="1" hidden="1">3</definedName>
    <definedName name="solver_rel33" localSheetId="1" hidden="1">3</definedName>
    <definedName name="solver_rel34" localSheetId="1" hidden="1">3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el8" localSheetId="1" hidden="1">3</definedName>
    <definedName name="solver_rel9" localSheetId="1" hidden="1">3</definedName>
    <definedName name="solver_rhs1" localSheetId="1" hidden="1">12.5</definedName>
    <definedName name="solver_rhs10" localSheetId="1" hidden="1">11</definedName>
    <definedName name="solver_rhs11" localSheetId="1" hidden="1">11</definedName>
    <definedName name="solver_rhs12" localSheetId="1" hidden="1">11</definedName>
    <definedName name="solver_rhs13" localSheetId="1" hidden="1">11</definedName>
    <definedName name="solver_rhs14" localSheetId="1" hidden="1">11</definedName>
    <definedName name="solver_rhs15" localSheetId="1" hidden="1">11</definedName>
    <definedName name="solver_rhs16" localSheetId="1" hidden="1">11</definedName>
    <definedName name="solver_rhs17" localSheetId="1" hidden="1">11</definedName>
    <definedName name="solver_rhs18" localSheetId="1" hidden="1">11</definedName>
    <definedName name="solver_rhs19" localSheetId="1" hidden="1">11</definedName>
    <definedName name="solver_rhs2" localSheetId="1" hidden="1">1</definedName>
    <definedName name="solver_rhs20" localSheetId="1" hidden="1">11</definedName>
    <definedName name="solver_rhs21" localSheetId="1" hidden="1">11</definedName>
    <definedName name="solver_rhs22" localSheetId="1" hidden="1">11</definedName>
    <definedName name="solver_rhs23" localSheetId="1" hidden="1">11</definedName>
    <definedName name="solver_rhs24" localSheetId="1" hidden="1">11</definedName>
    <definedName name="solver_rhs25" localSheetId="1" hidden="1">11</definedName>
    <definedName name="solver_rhs26" localSheetId="1" hidden="1">11</definedName>
    <definedName name="solver_rhs27" localSheetId="1" hidden="1">11</definedName>
    <definedName name="solver_rhs28" localSheetId="1" hidden="1">11</definedName>
    <definedName name="solver_rhs29" localSheetId="1" hidden="1">11</definedName>
    <definedName name="solver_rhs3" localSheetId="1" hidden="1">1</definedName>
    <definedName name="solver_rhs30" localSheetId="1" hidden="1">11</definedName>
    <definedName name="solver_rhs31" localSheetId="1" hidden="1">11</definedName>
    <definedName name="solver_rhs32" localSheetId="1" hidden="1">11</definedName>
    <definedName name="solver_rhs33" localSheetId="1" hidden="1">11</definedName>
    <definedName name="solver_rhs34" localSheetId="1" hidden="1">11</definedName>
    <definedName name="solver_rhs4" localSheetId="1" hidden="1">11</definedName>
    <definedName name="solver_rhs5" localSheetId="1" hidden="1">11</definedName>
    <definedName name="solver_rhs6" localSheetId="1" hidden="1">11</definedName>
    <definedName name="solver_rhs7" localSheetId="1" hidden="1">11</definedName>
    <definedName name="solver_rhs8" localSheetId="1" hidden="1">11</definedName>
    <definedName name="solver_rhs9" localSheetId="1" hidden="1">11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<sst xmlns="http://schemas.openxmlformats.org/spreadsheetml/2006/main" count="57" uniqueCount="39">
  <si>
    <t>Options:</t>
  </si>
  <si>
    <t>Solver Test:</t>
  </si>
  <si>
    <t>x1</t>
  </si>
  <si>
    <t>x3</t>
  </si>
  <si>
    <t>x2</t>
  </si>
  <si>
    <t>Linest output:</t>
  </si>
  <si>
    <t>x0</t>
  </si>
  <si>
    <t>Linest setup:</t>
  </si>
  <si>
    <t>y (lactate)</t>
  </si>
  <si>
    <t>x1 (workload)</t>
  </si>
  <si>
    <t>Solver stuff:</t>
  </si>
  <si>
    <t>Formula</t>
  </si>
  <si>
    <t>x-val</t>
  </si>
  <si>
    <t>y(seek)-val</t>
  </si>
  <si>
    <t>Keep formula safe</t>
  </si>
  <si>
    <t>Default Value</t>
  </si>
  <si>
    <t>Checked</t>
  </si>
  <si>
    <t>Initial Rise:</t>
  </si>
  <si>
    <t>TEM:</t>
  </si>
  <si>
    <t>FBLA1</t>
  </si>
  <si>
    <t>FBLA2</t>
  </si>
  <si>
    <t>Dmax solver</t>
  </si>
  <si>
    <t>Lactate Threshold:</t>
  </si>
  <si>
    <t>Y-vals</t>
  </si>
  <si>
    <t>X-vals</t>
  </si>
  <si>
    <t>LHS</t>
  </si>
  <si>
    <t>RHS</t>
  </si>
  <si>
    <t>b</t>
  </si>
  <si>
    <t>m-rhs</t>
  </si>
  <si>
    <t>m-lhs</t>
  </si>
  <si>
    <t>ssresid</t>
  </si>
  <si>
    <t>Log(Y)</t>
  </si>
  <si>
    <t>Log(X)</t>
  </si>
  <si>
    <t>Breakpoint</t>
  </si>
  <si>
    <t>Lactate-E : Blood Lactate Endurance Marker Software</t>
  </si>
  <si>
    <t>Created by David Higgins and John Newell, 2005</t>
  </si>
  <si>
    <t>Dept of Mathematics, National University of Ireland Galway</t>
  </si>
  <si>
    <t>Ireland</t>
  </si>
  <si>
    <t>(www.nuigalway.ie/maths/jn/LACTATE/ 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</si>
</sst>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#,##0;&quot;€&quot;\-#,##0"/>
    <numFmt numFmtId="185" formatCode="&quot;€&quot;#,##0;[Red]&quot;€&quot;\-#,##0"/>
    <numFmt numFmtId="186" formatCode="&quot;€&quot;#,##0.00;&quot;€&quot;\-#,##0.00"/>
    <numFmt numFmtId="187" formatCode="&quot;€&quot;#,##0.00;[Red]&quot;€&quot;\-#,##0.00"/>
    <numFmt numFmtId="188" formatCode="_ &quot;€&quot;* #,##0_ ;_ &quot;€&quot;* \-#,##0_ ;_ &quot;€&quot;* &quot;-&quot;_ ;_ @_ "/>
    <numFmt numFmtId="189" formatCode="_ * #,##0_ ;_ * \-#,##0_ ;_ * &quot;-&quot;_ ;_ @_ "/>
    <numFmt numFmtId="190" formatCode="_ &quot;€&quot;* #,##0.00_ ;_ &quot;€&quot;* \-#,##0.00_ ;_ &quot;€&quot;* &quot;-&quot;??_ ;_ @_ "/>
    <numFmt numFmtId="191" formatCode="_ * #,##0.00_ ;_ * \-#,##0.00_ ;_ * &quot;-&quot;??_ ;_ @_ 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sz val="16"/>
      <color indexed="12"/>
      <name val="Arial"/>
      <family val="0"/>
    </font>
    <font>
      <sz val="10"/>
      <color indexed="37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49" fontId="0" fillId="0" borderId="5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0" fillId="0" borderId="5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8</xdr:col>
      <xdr:colOff>390525</xdr:colOff>
      <xdr:row>22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04875"/>
          <a:ext cx="46577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G27"/>
  <sheetViews>
    <sheetView tabSelected="1" workbookViewId="0" topLeftCell="A1">
      <selection activeCell="A1" sqref="A1"/>
    </sheetView>
  </sheetViews>
  <sheetFormatPr defaultColWidth="9.140625" defaultRowHeight="12.75"/>
  <sheetData>
    <row r="3" ht="20.25">
      <c r="B3" s="32" t="s">
        <v>34</v>
      </c>
    </row>
    <row r="4" ht="12.75">
      <c r="D4" t="s">
        <v>38</v>
      </c>
    </row>
    <row r="25" ht="12.75">
      <c r="G25" s="33" t="s">
        <v>35</v>
      </c>
    </row>
    <row r="26" ht="12.75">
      <c r="G26" s="33" t="s">
        <v>36</v>
      </c>
    </row>
    <row r="27" ht="12.75">
      <c r="G27" s="33" t="s"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43"/>
  <sheetViews>
    <sheetView workbookViewId="0" topLeftCell="A1">
      <selection activeCell="E34" sqref="E34"/>
    </sheetView>
  </sheetViews>
  <sheetFormatPr defaultColWidth="9.140625" defaultRowHeight="12.75"/>
  <cols>
    <col min="4" max="4" width="11.421875" style="0" customWidth="1"/>
    <col min="8" max="8" width="11.421875" style="0" customWidth="1"/>
    <col min="9" max="9" width="9.28125" style="15" customWidth="1"/>
    <col min="10" max="10" width="13.421875" style="0" customWidth="1"/>
    <col min="12" max="12" width="9.140625" style="17" customWidth="1"/>
    <col min="13" max="14" width="16.140625" style="0" customWidth="1"/>
    <col min="15" max="15" width="15.57421875" style="0" customWidth="1"/>
    <col min="16" max="16" width="11.8515625" style="0" customWidth="1"/>
    <col min="19" max="19" width="13.28125" style="0" customWidth="1"/>
    <col min="20" max="20" width="16.140625" style="0" customWidth="1"/>
    <col min="22" max="22" width="16.421875" style="0" customWidth="1"/>
    <col min="28" max="28" width="15.8515625" style="0" customWidth="1"/>
    <col min="29" max="29" width="16.421875" style="0" customWidth="1"/>
    <col min="30" max="30" width="13.8515625" style="0" customWidth="1"/>
    <col min="31" max="31" width="14.7109375" style="0" customWidth="1"/>
    <col min="38" max="38" width="16.421875" style="0" customWidth="1"/>
    <col min="39" max="39" width="13.57421875" style="0" customWidth="1"/>
    <col min="40" max="40" width="13.00390625" style="0" customWidth="1"/>
    <col min="41" max="41" width="14.8515625" style="0" customWidth="1"/>
    <col min="43" max="43" width="22.57421875" style="0" customWidth="1"/>
    <col min="44" max="44" width="13.28125" style="0" customWidth="1"/>
    <col min="45" max="45" width="17.57421875" style="0" customWidth="1"/>
    <col min="47" max="47" width="12.8515625" style="0" customWidth="1"/>
  </cols>
  <sheetData>
    <row r="1" spans="1:48" ht="12.75">
      <c r="A1" s="1">
        <v>1</v>
      </c>
      <c r="B1" s="1">
        <v>2.3</v>
      </c>
      <c r="C1" s="1"/>
      <c r="D1" s="2" t="s">
        <v>1</v>
      </c>
      <c r="E1" s="3">
        <v>-1</v>
      </c>
      <c r="F1" s="3" t="s">
        <v>0</v>
      </c>
      <c r="G1" s="4" t="b">
        <f>$E$3=0</f>
        <v>1</v>
      </c>
      <c r="H1" s="1" t="s">
        <v>7</v>
      </c>
      <c r="I1" s="14" t="s">
        <v>8</v>
      </c>
      <c r="J1" s="12" t="s">
        <v>9</v>
      </c>
      <c r="K1" s="13" t="s">
        <v>4</v>
      </c>
      <c r="L1" s="16" t="s">
        <v>3</v>
      </c>
      <c r="M1" s="13" t="s">
        <v>5</v>
      </c>
      <c r="N1" s="13" t="s">
        <v>3</v>
      </c>
      <c r="O1" s="13" t="s">
        <v>4</v>
      </c>
      <c r="P1" s="13" t="s">
        <v>2</v>
      </c>
      <c r="Q1" s="13" t="s">
        <v>6</v>
      </c>
      <c r="S1" s="14" t="s">
        <v>17</v>
      </c>
      <c r="T1" s="22" t="s">
        <v>15</v>
      </c>
      <c r="U1" s="26" t="s">
        <v>16</v>
      </c>
      <c r="V1" s="28" t="s">
        <v>22</v>
      </c>
      <c r="W1" s="28" t="s">
        <v>23</v>
      </c>
      <c r="X1" s="28" t="s">
        <v>24</v>
      </c>
      <c r="Y1" s="28" t="s">
        <v>25</v>
      </c>
      <c r="Z1" s="28" t="s">
        <v>26</v>
      </c>
      <c r="AB1" s="28" t="s">
        <v>28</v>
      </c>
      <c r="AC1" s="28" t="s">
        <v>29</v>
      </c>
      <c r="AD1" s="28" t="s">
        <v>27</v>
      </c>
      <c r="AE1" s="28" t="s">
        <v>30</v>
      </c>
      <c r="AG1" s="28" t="s">
        <v>31</v>
      </c>
      <c r="AH1" s="28" t="s">
        <v>32</v>
      </c>
      <c r="AI1" s="28" t="s">
        <v>25</v>
      </c>
      <c r="AJ1" s="28" t="s">
        <v>26</v>
      </c>
      <c r="AL1" s="28" t="s">
        <v>28</v>
      </c>
      <c r="AM1" s="28" t="s">
        <v>29</v>
      </c>
      <c r="AN1" s="28" t="s">
        <v>27</v>
      </c>
      <c r="AO1" s="28" t="s">
        <v>30</v>
      </c>
      <c r="AQ1" s="28"/>
      <c r="AR1" s="28"/>
      <c r="AS1" s="28"/>
      <c r="AT1" s="28"/>
      <c r="AU1" s="28"/>
      <c r="AV1" s="28"/>
    </row>
    <row r="2" spans="1:41" ht="12.75">
      <c r="A2" s="1">
        <v>2</v>
      </c>
      <c r="B2" s="1">
        <v>2.3</v>
      </c>
      <c r="C2" s="1"/>
      <c r="D2" s="5"/>
      <c r="E2" s="6"/>
      <c r="F2" s="6"/>
      <c r="G2" s="7">
        <f>COUNT($E$1)</f>
        <v>1</v>
      </c>
      <c r="H2" s="1"/>
      <c r="I2" s="5">
        <v>10</v>
      </c>
      <c r="J2" s="1">
        <v>117</v>
      </c>
      <c r="K2" s="1">
        <f aca="true" t="shared" si="0" ref="K2:K14">J2^2</f>
        <v>13689</v>
      </c>
      <c r="L2" s="7">
        <f aca="true" t="shared" si="1" ref="L2:L14">J2^3</f>
        <v>1601613</v>
      </c>
      <c r="M2" s="1"/>
      <c r="N2" s="18">
        <f>INDEX(LINEST(I2:I14,J2:L14),1)</f>
        <v>3.6934099407666217E-06</v>
      </c>
      <c r="O2" s="19">
        <f>INDEX(LINEST(I2:I14,J2:L14),2)</f>
        <v>-0.0015068204567325017</v>
      </c>
      <c r="P2" s="19">
        <f>INDEX(LINEST(I2:I14,J2:L14),3)</f>
        <v>0.2934791717877508</v>
      </c>
      <c r="Q2" s="20">
        <f>INDEX(LINEST(I2:I14,J2:L14),4)</f>
        <v>-9.709663213899638</v>
      </c>
      <c r="S2" s="15"/>
      <c r="T2">
        <v>1</v>
      </c>
      <c r="U2" s="17" t="b">
        <v>1</v>
      </c>
      <c r="W2">
        <v>0.8</v>
      </c>
      <c r="X2">
        <v>10</v>
      </c>
      <c r="Y2">
        <f>IF(X2&lt;AB6,AB6-X2,0)</f>
        <v>5.5</v>
      </c>
      <c r="Z2">
        <f>IF(X2&gt;AB6,X2-AB6,0)</f>
        <v>0</v>
      </c>
      <c r="AB2">
        <f>INDEX(LINEST(W2:W14,Y2:Z14,,TRUE),1)</f>
        <v>6.125641025641024</v>
      </c>
      <c r="AC2">
        <f>INDEX(LINEST(W2:W14,Y2:Z14,,TRUE),1,2)</f>
        <v>-0.4923076923076923</v>
      </c>
      <c r="AD2">
        <f>INDEX(LINEST(W2:W14,Y2:Z14,,TRUE),1,3)</f>
        <v>2.7371794871794872</v>
      </c>
      <c r="AE2">
        <f>INDEX(LINEST(W2:W14,Y2:Z14,,TRUE),5,2)</f>
        <v>2.112051282051283</v>
      </c>
      <c r="AG2">
        <v>-0.2231435513142097</v>
      </c>
      <c r="AH2">
        <v>2.302585092994046</v>
      </c>
      <c r="AI2">
        <f>IF(AH2&lt;AL6,AL6-AH2,0)</f>
        <v>0.1866721256434336</v>
      </c>
      <c r="AJ2">
        <f>IF(AH2&gt;AL6,AH2-AL6,0)</f>
        <v>0</v>
      </c>
      <c r="AL2">
        <f>INDEX(LINEST(AG2:AG14,AI2:AJ14,,TRUE),1)</f>
        <v>7.53513918006539</v>
      </c>
      <c r="AM2">
        <f>INDEX(LINEST(AG2:AG14,AI2:AJ14,,TRUE),1,2)</f>
        <v>0.4175993984354659</v>
      </c>
      <c r="AN2">
        <f>INDEX(LINEST(AG2:AG14,AI2:AJ14,,TRUE),1,3)</f>
        <v>-0.5429279880225237</v>
      </c>
      <c r="AO2">
        <f>INDEX(LINEST(AG2:AG14,AI2:AJ14,,TRUE),5,2)</f>
        <v>0.23310183714397809</v>
      </c>
    </row>
    <row r="3" spans="1:36" ht="12.75">
      <c r="A3" s="1">
        <v>3</v>
      </c>
      <c r="B3" s="1">
        <v>2.3</v>
      </c>
      <c r="C3" s="1"/>
      <c r="D3" s="8"/>
      <c r="E3" s="9">
        <f>(-6-4*E1^1+5*E1^2+3*E1^3)</f>
        <v>0</v>
      </c>
      <c r="F3" s="9"/>
      <c r="G3" s="10">
        <f>{100,100,1E-10,0.05,FALSE,TRUE,FALSE,1,1,1,0.0001,FALSE}</f>
        <v>100</v>
      </c>
      <c r="H3" s="1"/>
      <c r="I3" s="5">
        <v>10.5</v>
      </c>
      <c r="J3" s="1">
        <v>128</v>
      </c>
      <c r="K3" s="1">
        <f t="shared" si="0"/>
        <v>16384</v>
      </c>
      <c r="L3" s="7">
        <f t="shared" si="1"/>
        <v>2097152</v>
      </c>
      <c r="M3" s="1"/>
      <c r="N3">
        <f>INDEX(LINEST(I2:I14,J2:L14),1)</f>
        <v>3.6934099407666217E-06</v>
      </c>
      <c r="O3">
        <f>INDEX(LINEST(I2:I14,J2:L14),2)</f>
        <v>-0.0015068204567325017</v>
      </c>
      <c r="P3">
        <f>INDEX(LINEST(I2:I14,J2:L14),3)</f>
        <v>0.2934791717877508</v>
      </c>
      <c r="Q3">
        <f>INDEX(LINEST(I2:I14,J2:L14),4)</f>
        <v>-9.709663213899638</v>
      </c>
      <c r="S3" s="15"/>
      <c r="U3" s="17"/>
      <c r="W3">
        <v>0.5</v>
      </c>
      <c r="X3">
        <v>10.5</v>
      </c>
      <c r="Y3">
        <f>IF(X3&lt;AB6,AB6-X3,0)</f>
        <v>5</v>
      </c>
      <c r="Z3">
        <f>IF(X3&gt;AB6,X3-AB6,0)</f>
        <v>0</v>
      </c>
      <c r="AG3">
        <v>-0.6931471805599453</v>
      </c>
      <c r="AH3">
        <v>2.3513752571634776</v>
      </c>
      <c r="AI3">
        <f>IF(AH3&lt;AL6,AL6-AH3,0)</f>
        <v>0.1378819614740019</v>
      </c>
      <c r="AJ3">
        <f>IF(AH3&gt;AL6,AH3-AL6,0)</f>
        <v>0</v>
      </c>
    </row>
    <row r="4" spans="1:36" ht="12.75">
      <c r="A4" s="1">
        <v>4</v>
      </c>
      <c r="B4" s="1">
        <v>2.4</v>
      </c>
      <c r="C4" s="1"/>
      <c r="D4" s="1"/>
      <c r="E4" s="1"/>
      <c r="F4" s="1"/>
      <c r="G4" s="1"/>
      <c r="H4" s="1"/>
      <c r="I4" s="5">
        <v>11</v>
      </c>
      <c r="J4" s="1">
        <v>130</v>
      </c>
      <c r="K4" s="1">
        <f t="shared" si="0"/>
        <v>16900</v>
      </c>
      <c r="L4" s="7">
        <f t="shared" si="1"/>
        <v>2197000</v>
      </c>
      <c r="M4" s="1"/>
      <c r="S4" s="15"/>
      <c r="U4" s="17"/>
      <c r="W4">
        <v>0.5</v>
      </c>
      <c r="X4">
        <v>11</v>
      </c>
      <c r="Y4">
        <f>IF(X4&lt;AB6,AB6-X4,0)</f>
        <v>4.5</v>
      </c>
      <c r="Z4">
        <f>IF(X4&gt;AB6,X4-AB6,0)</f>
        <v>0</v>
      </c>
      <c r="AG4">
        <v>-0.6931471805599453</v>
      </c>
      <c r="AH4">
        <v>2.3978952727983707</v>
      </c>
      <c r="AI4">
        <f>IF(AH4&lt;AL6,AL6-AH4,0)</f>
        <v>0.09136194583910884</v>
      </c>
      <c r="AJ4">
        <f>IF(AH4&gt;AL6,AH4-AL6,0)</f>
        <v>0</v>
      </c>
    </row>
    <row r="5" spans="1:38" ht="12.75">
      <c r="A5" s="1">
        <v>5</v>
      </c>
      <c r="B5" s="1">
        <v>2.5</v>
      </c>
      <c r="C5" s="1"/>
      <c r="D5" s="6"/>
      <c r="E5" s="6"/>
      <c r="F5" s="6"/>
      <c r="G5" s="6"/>
      <c r="H5" s="1"/>
      <c r="I5" s="5">
        <v>11.5</v>
      </c>
      <c r="J5" s="1">
        <v>131</v>
      </c>
      <c r="K5" s="1">
        <f t="shared" si="0"/>
        <v>17161</v>
      </c>
      <c r="L5" s="7">
        <f t="shared" si="1"/>
        <v>2248091</v>
      </c>
      <c r="M5" s="21" t="s">
        <v>10</v>
      </c>
      <c r="N5" t="s">
        <v>11</v>
      </c>
      <c r="O5" t="s">
        <v>12</v>
      </c>
      <c r="P5" t="s">
        <v>13</v>
      </c>
      <c r="S5" s="23" t="s">
        <v>18</v>
      </c>
      <c r="T5" t="s">
        <v>15</v>
      </c>
      <c r="U5" s="17" t="s">
        <v>16</v>
      </c>
      <c r="W5">
        <v>0.6</v>
      </c>
      <c r="X5">
        <v>11.5</v>
      </c>
      <c r="Y5">
        <f>IF(X5&lt;AB6,AB6-X5,0)</f>
        <v>4</v>
      </c>
      <c r="Z5">
        <f>IF(X5&gt;AB6,X5-AB6,0)</f>
        <v>0</v>
      </c>
      <c r="AB5" s="28" t="s">
        <v>33</v>
      </c>
      <c r="AG5">
        <v>-0.5108256237659907</v>
      </c>
      <c r="AH5">
        <v>2.4423470353692043</v>
      </c>
      <c r="AI5">
        <f>IF(AH5&lt;AL6,AL6-AH5,0)</f>
        <v>0.04691018326827523</v>
      </c>
      <c r="AJ5">
        <f>IF(AH5&gt;AL6,AH5-AL6,0)</f>
        <v>0</v>
      </c>
      <c r="AL5" s="28" t="s">
        <v>33</v>
      </c>
    </row>
    <row r="6" spans="1:38" ht="12.75">
      <c r="A6" s="1">
        <v>6</v>
      </c>
      <c r="B6" s="1">
        <v>2.6</v>
      </c>
      <c r="C6" s="1"/>
      <c r="D6" s="6"/>
      <c r="E6" s="6"/>
      <c r="F6" s="6"/>
      <c r="G6" s="6"/>
      <c r="H6" s="1"/>
      <c r="I6" s="5">
        <v>12</v>
      </c>
      <c r="J6" s="1">
        <v>140</v>
      </c>
      <c r="K6" s="1">
        <f t="shared" si="0"/>
        <v>19600</v>
      </c>
      <c r="L6" s="7">
        <f t="shared" si="1"/>
        <v>2744000</v>
      </c>
      <c r="M6" s="1"/>
      <c r="N6">
        <f>(N2*O6^3)+(O2*O6^2)+(P2*O6)+(Q2-P6)</f>
        <v>-1.2708943742723022E-05</v>
      </c>
      <c r="O6">
        <v>131.13962881333768</v>
      </c>
      <c r="P6">
        <v>11.193100348931459</v>
      </c>
      <c r="S6" s="15"/>
      <c r="T6" s="11">
        <v>1</v>
      </c>
      <c r="U6" s="17" t="b">
        <v>1</v>
      </c>
      <c r="W6">
        <v>0.6</v>
      </c>
      <c r="X6">
        <v>12</v>
      </c>
      <c r="Y6">
        <f>IF(X6&lt;AB6,AB6-X6,0)</f>
        <v>3.5</v>
      </c>
      <c r="Z6">
        <f>IF(X6&gt;AB6,X6-AB6,0)</f>
        <v>0</v>
      </c>
      <c r="AB6">
        <v>15.5</v>
      </c>
      <c r="AG6">
        <v>-0.5108256237659907</v>
      </c>
      <c r="AH6">
        <v>2.4849066497880004</v>
      </c>
      <c r="AI6">
        <f>IF(AH6&lt;AL6,AL6-AH6,0)</f>
        <v>0.004350568849479153</v>
      </c>
      <c r="AJ6">
        <f>IF(AH6&gt;AL6,AH6-AL6,0)</f>
        <v>0</v>
      </c>
      <c r="AL6">
        <v>2.4892572186374795</v>
      </c>
    </row>
    <row r="7" spans="1:36" ht="12.75">
      <c r="A7" s="1">
        <v>7</v>
      </c>
      <c r="B7" s="1">
        <v>2.7</v>
      </c>
      <c r="C7" s="1"/>
      <c r="D7" s="6"/>
      <c r="E7" s="6"/>
      <c r="F7" s="6"/>
      <c r="G7" s="6"/>
      <c r="H7" s="1"/>
      <c r="I7" s="5">
        <v>12.5</v>
      </c>
      <c r="J7" s="1">
        <v>143</v>
      </c>
      <c r="K7" s="1">
        <f t="shared" si="0"/>
        <v>20449</v>
      </c>
      <c r="L7" s="7">
        <f t="shared" si="1"/>
        <v>2924207</v>
      </c>
      <c r="M7" s="1"/>
      <c r="S7" s="15"/>
      <c r="T7" s="11"/>
      <c r="U7" s="17"/>
      <c r="W7">
        <v>0.8</v>
      </c>
      <c r="X7">
        <v>12.5</v>
      </c>
      <c r="Y7">
        <f>IF(X7&lt;AB6,AB6-X7,0)</f>
        <v>3</v>
      </c>
      <c r="Z7">
        <f>IF(X7&gt;AB6,X7-AB6,0)</f>
        <v>0</v>
      </c>
      <c r="AG7">
        <v>-0.2231435513142097</v>
      </c>
      <c r="AH7">
        <v>2.5257286443082556</v>
      </c>
      <c r="AI7">
        <f>IF(AH7&lt;AL6,AL6-AH7,0)</f>
        <v>0</v>
      </c>
      <c r="AJ7">
        <f>IF(AH7&gt;AL6,AH7-AL6,0)</f>
        <v>0.0364714256707761</v>
      </c>
    </row>
    <row r="8" spans="1:47" ht="12.75">
      <c r="A8" s="1">
        <v>8</v>
      </c>
      <c r="B8" s="1">
        <v>2.9</v>
      </c>
      <c r="C8" s="1"/>
      <c r="D8" s="6"/>
      <c r="E8" s="6"/>
      <c r="F8" s="6"/>
      <c r="G8" s="6"/>
      <c r="H8" s="1"/>
      <c r="I8" s="5">
        <v>13</v>
      </c>
      <c r="J8" s="1">
        <v>152</v>
      </c>
      <c r="K8" s="1">
        <f t="shared" si="0"/>
        <v>23104</v>
      </c>
      <c r="L8" s="7">
        <f t="shared" si="1"/>
        <v>3511808</v>
      </c>
      <c r="M8" s="1" t="s">
        <v>14</v>
      </c>
      <c r="N8">
        <f>(N2*O6^3)+(O2*O6^2)+(P2*O6)+(Q2-P6)</f>
        <v>-1.2708943742723022E-05</v>
      </c>
      <c r="O8">
        <f>(3*N2*O11^2)+(2*O2*O11)+(P2-P11)</f>
        <v>-0.5792815043111482</v>
      </c>
      <c r="S8" s="23" t="s">
        <v>19</v>
      </c>
      <c r="T8" s="11" t="s">
        <v>15</v>
      </c>
      <c r="U8" s="17" t="s">
        <v>16</v>
      </c>
      <c r="W8">
        <v>1.2</v>
      </c>
      <c r="X8">
        <v>13</v>
      </c>
      <c r="Y8">
        <f>IF(X8&lt;AB6,AB6-X8,0)</f>
        <v>2.5</v>
      </c>
      <c r="Z8">
        <f>IF(X8&gt;AB6,X8-AB6,0)</f>
        <v>0</v>
      </c>
      <c r="AG8">
        <v>0.1823215567939546</v>
      </c>
      <c r="AH8">
        <v>2.5649493574615367</v>
      </c>
      <c r="AI8">
        <f>IF(AH8&lt;AL6,AL6-AH8,0)</f>
        <v>0</v>
      </c>
      <c r="AJ8">
        <f>IF(AH8&gt;AL6,AH8-AL6,0)</f>
        <v>0.07569213882405723</v>
      </c>
      <c r="AS8" s="28"/>
      <c r="AT8" s="28"/>
      <c r="AU8" s="28"/>
    </row>
    <row r="9" spans="1:44" ht="12.75">
      <c r="A9" s="1">
        <v>9</v>
      </c>
      <c r="B9" s="1">
        <v>3.5</v>
      </c>
      <c r="C9" s="1"/>
      <c r="D9" s="6"/>
      <c r="E9" s="6"/>
      <c r="F9" s="6"/>
      <c r="G9" s="6"/>
      <c r="H9" s="1"/>
      <c r="I9" s="5">
        <v>13.5</v>
      </c>
      <c r="J9" s="1">
        <v>160</v>
      </c>
      <c r="K9" s="1">
        <f t="shared" si="0"/>
        <v>25600</v>
      </c>
      <c r="L9" s="7">
        <f t="shared" si="1"/>
        <v>4096000</v>
      </c>
      <c r="M9" s="1"/>
      <c r="S9" s="15"/>
      <c r="T9" s="11">
        <v>4</v>
      </c>
      <c r="U9" s="17" t="b">
        <v>1</v>
      </c>
      <c r="W9">
        <v>1.5</v>
      </c>
      <c r="X9">
        <v>13.5</v>
      </c>
      <c r="Y9">
        <f>IF(X9&lt;AB6,AB6-X9,0)</f>
        <v>2</v>
      </c>
      <c r="Z9">
        <f>IF(X9&gt;AB6,X9-AB6,0)</f>
        <v>0</v>
      </c>
      <c r="AG9">
        <v>0.4054651081081644</v>
      </c>
      <c r="AH9">
        <v>2.6026896854443837</v>
      </c>
      <c r="AI9">
        <f>IF(AH9&lt;AL6,AL6-AH9,0)</f>
        <v>0</v>
      </c>
      <c r="AJ9">
        <f>IF(AH9&gt;AL6,AH9-AL6,0)</f>
        <v>0.11343246680690422</v>
      </c>
      <c r="AR9" s="28"/>
    </row>
    <row r="10" spans="1:36" ht="12.75">
      <c r="A10" s="1">
        <v>10</v>
      </c>
      <c r="B10" s="1">
        <v>4</v>
      </c>
      <c r="C10" s="1"/>
      <c r="D10" s="6"/>
      <c r="E10" s="6"/>
      <c r="F10" s="6"/>
      <c r="G10" s="6"/>
      <c r="H10" s="1"/>
      <c r="I10" s="5">
        <v>14</v>
      </c>
      <c r="J10" s="1">
        <v>162</v>
      </c>
      <c r="K10" s="1">
        <f t="shared" si="0"/>
        <v>26244</v>
      </c>
      <c r="L10" s="7">
        <f t="shared" si="1"/>
        <v>4251528</v>
      </c>
      <c r="M10" s="21" t="s">
        <v>21</v>
      </c>
      <c r="N10" t="s">
        <v>11</v>
      </c>
      <c r="O10" t="s">
        <v>12</v>
      </c>
      <c r="P10" t="s">
        <v>13</v>
      </c>
      <c r="S10" s="15"/>
      <c r="T10" s="11"/>
      <c r="U10" s="17"/>
      <c r="W10">
        <v>1.7</v>
      </c>
      <c r="X10">
        <v>14</v>
      </c>
      <c r="Y10">
        <f>IF(X10&lt;AB6,AB6-X10,0)</f>
        <v>1.5</v>
      </c>
      <c r="Z10">
        <f>IF(X10&gt;AB6,X10-AB6,0)</f>
        <v>0</v>
      </c>
      <c r="AG10">
        <v>0.5306282510621704</v>
      </c>
      <c r="AH10">
        <v>2.6390573296152584</v>
      </c>
      <c r="AI10">
        <f>IF(AH10&lt;AL6,AL6-AH10,0)</f>
        <v>0</v>
      </c>
      <c r="AJ10">
        <f>IF(AH10&gt;AL6,AH10-AL6,0)</f>
        <v>0.1498001109777789</v>
      </c>
    </row>
    <row r="11" spans="1:36" ht="12.75">
      <c r="A11" s="1">
        <v>11</v>
      </c>
      <c r="B11" s="1">
        <v>5.6</v>
      </c>
      <c r="C11" s="1"/>
      <c r="D11" s="6"/>
      <c r="E11" s="6"/>
      <c r="F11" s="6"/>
      <c r="G11" s="6"/>
      <c r="H11" s="1"/>
      <c r="I11" s="5">
        <v>14.5</v>
      </c>
      <c r="J11" s="1">
        <v>166</v>
      </c>
      <c r="K11" s="1">
        <f t="shared" si="0"/>
        <v>27556</v>
      </c>
      <c r="L11" s="7">
        <f t="shared" si="1"/>
        <v>4574296</v>
      </c>
      <c r="M11" s="1"/>
      <c r="N11">
        <f>(3*N2*O11^2)+(2*O2*O11)+(P2-P11)</f>
        <v>-0.5792815043111482</v>
      </c>
      <c r="O11">
        <v>13.781247330628307</v>
      </c>
      <c r="P11">
        <v>0.8333333333333334</v>
      </c>
      <c r="S11" s="15"/>
      <c r="T11" s="11"/>
      <c r="U11" s="17"/>
      <c r="W11">
        <v>2.1</v>
      </c>
      <c r="X11">
        <v>14.5</v>
      </c>
      <c r="Y11">
        <f>IF(X11&lt;AB6,AB6-X11,0)</f>
        <v>1</v>
      </c>
      <c r="Z11">
        <f>IF(X11&gt;AB6,X11-AB6,0)</f>
        <v>0</v>
      </c>
      <c r="AG11">
        <v>0.7419373447293773</v>
      </c>
      <c r="AH11">
        <v>2.6741486494265287</v>
      </c>
      <c r="AI11">
        <f>IF(AH11&lt;AL6,AL6-AH11,0)</f>
        <v>0</v>
      </c>
      <c r="AJ11">
        <f>IF(AH11&gt;AL6,AH11-AL6,0)</f>
        <v>0.18489143078904924</v>
      </c>
    </row>
    <row r="12" spans="1:36" ht="12.75">
      <c r="A12" s="1">
        <v>12</v>
      </c>
      <c r="B12" s="1">
        <v>6.5</v>
      </c>
      <c r="C12" s="1"/>
      <c r="D12" s="6"/>
      <c r="E12" s="6"/>
      <c r="F12" s="6"/>
      <c r="G12" s="6"/>
      <c r="H12" s="1"/>
      <c r="I12" s="5">
        <v>15</v>
      </c>
      <c r="J12" s="1">
        <v>172</v>
      </c>
      <c r="K12" s="1">
        <f t="shared" si="0"/>
        <v>29584</v>
      </c>
      <c r="L12" s="7">
        <f t="shared" si="1"/>
        <v>5088448</v>
      </c>
      <c r="M12" s="1"/>
      <c r="S12" s="23" t="s">
        <v>20</v>
      </c>
      <c r="T12" s="11" t="s">
        <v>15</v>
      </c>
      <c r="U12" s="17" t="s">
        <v>16</v>
      </c>
      <c r="W12">
        <v>2.7</v>
      </c>
      <c r="X12">
        <v>15</v>
      </c>
      <c r="Y12">
        <f>IF(X12&lt;AB6,AB6-X12,0)</f>
        <v>0.5</v>
      </c>
      <c r="Z12">
        <f>IF(X12&gt;AB6,X12-AB6,0)</f>
        <v>0</v>
      </c>
      <c r="AG12">
        <v>0.9932517730102834</v>
      </c>
      <c r="AH12">
        <v>2.70805020110221</v>
      </c>
      <c r="AI12">
        <f>IF(AH12&lt;AL6,AL6-AH12,0)</f>
        <v>0</v>
      </c>
      <c r="AJ12">
        <f>IF(AH12&gt;AL6,AH12-AL6,0)</f>
        <v>0.21879298246473056</v>
      </c>
    </row>
    <row r="13" spans="1:36" ht="12.75">
      <c r="A13" s="1">
        <v>13</v>
      </c>
      <c r="B13" s="1">
        <v>7.3</v>
      </c>
      <c r="C13" s="1"/>
      <c r="D13" s="6"/>
      <c r="E13" s="6"/>
      <c r="F13" s="6"/>
      <c r="G13" s="6"/>
      <c r="H13" s="1"/>
      <c r="I13" s="5">
        <v>15.5</v>
      </c>
      <c r="J13" s="1">
        <v>176</v>
      </c>
      <c r="K13" s="1">
        <f t="shared" si="0"/>
        <v>30976</v>
      </c>
      <c r="L13" s="7">
        <f t="shared" si="1"/>
        <v>5451776</v>
      </c>
      <c r="M13" s="8"/>
      <c r="N13" s="25"/>
      <c r="O13" s="25"/>
      <c r="P13" s="25"/>
      <c r="Q13" s="25"/>
      <c r="R13" s="27"/>
      <c r="S13" s="24"/>
      <c r="T13" s="25">
        <v>3.5</v>
      </c>
      <c r="U13" s="27" t="b">
        <v>1</v>
      </c>
      <c r="W13">
        <v>3.6</v>
      </c>
      <c r="X13">
        <v>15.5</v>
      </c>
      <c r="Y13">
        <f>IF(X13&lt;AB6,AB6-X13,0)</f>
        <v>0</v>
      </c>
      <c r="Z13">
        <f>IF(X13&gt;AB6,X13-AB6,0)</f>
        <v>0</v>
      </c>
      <c r="AG13">
        <v>1.2809338454620642</v>
      </c>
      <c r="AH13">
        <v>2.740840023925201</v>
      </c>
      <c r="AI13">
        <f>IF(AH13&lt;AL6,AL6-AH13,0)</f>
        <v>0</v>
      </c>
      <c r="AJ13">
        <f>IF(AH13&gt;AL6,AH13-AL6,0)</f>
        <v>0.25158280528772137</v>
      </c>
    </row>
    <row r="14" spans="1:36" ht="12.75">
      <c r="A14" s="1"/>
      <c r="B14" s="1"/>
      <c r="C14" s="1"/>
      <c r="D14" s="6"/>
      <c r="E14" s="6"/>
      <c r="F14" s="6"/>
      <c r="G14" s="6"/>
      <c r="H14" s="1"/>
      <c r="I14" s="5">
        <v>16</v>
      </c>
      <c r="J14" s="1">
        <v>182</v>
      </c>
      <c r="K14" s="1">
        <f t="shared" si="0"/>
        <v>33124</v>
      </c>
      <c r="L14" s="7">
        <f t="shared" si="1"/>
        <v>6028568</v>
      </c>
      <c r="M14" s="1"/>
      <c r="W14">
        <v>5.8</v>
      </c>
      <c r="X14">
        <v>16</v>
      </c>
      <c r="Y14">
        <f>IF(X14&lt;AB6,AB6-X14,0)</f>
        <v>0</v>
      </c>
      <c r="Z14">
        <f>IF(X14&gt;AB6,X14-AB6,0)</f>
        <v>0.5</v>
      </c>
      <c r="AG14">
        <v>1.7578579175523736</v>
      </c>
      <c r="AH14">
        <v>2.772588722239781</v>
      </c>
      <c r="AI14">
        <f>IF(AH14&lt;AL6,AL6-AH14,0)</f>
        <v>0</v>
      </c>
      <c r="AJ14">
        <f>IF(AH14&gt;AL6,AH14-AL6,0)</f>
        <v>0.28333150360230164</v>
      </c>
    </row>
    <row r="15" spans="2:13" ht="12.75">
      <c r="B15" s="1"/>
      <c r="C15" s="1"/>
      <c r="D15" s="6"/>
      <c r="E15" s="6"/>
      <c r="F15" s="6"/>
      <c r="G15" s="6"/>
      <c r="H15" s="1"/>
      <c r="I15" s="5"/>
      <c r="J15" s="1"/>
      <c r="K15" s="1"/>
      <c r="L15" s="7"/>
      <c r="M15" s="21"/>
    </row>
    <row r="16" spans="2:13" ht="12.75">
      <c r="B16" s="1"/>
      <c r="C16" s="1"/>
      <c r="D16" s="6"/>
      <c r="E16" s="1"/>
      <c r="F16" s="1"/>
      <c r="G16" s="1"/>
      <c r="H16" s="1"/>
      <c r="I16" s="5"/>
      <c r="J16" s="1"/>
      <c r="K16" s="1"/>
      <c r="L16" s="7"/>
      <c r="M16" s="1"/>
    </row>
    <row r="17" spans="2:13" ht="12.75">
      <c r="B17" s="1"/>
      <c r="C17" s="1"/>
      <c r="D17" s="6"/>
      <c r="E17" s="1"/>
      <c r="F17" s="1"/>
      <c r="G17" s="1"/>
      <c r="H17" s="1"/>
      <c r="I17" s="5"/>
      <c r="J17" s="1"/>
      <c r="K17" s="1"/>
      <c r="L17" s="7"/>
      <c r="M17" s="1"/>
    </row>
    <row r="18" spans="2:13" ht="12.75">
      <c r="B18" s="1"/>
      <c r="C18" s="1"/>
      <c r="D18" s="6"/>
      <c r="E18" s="1"/>
      <c r="F18" s="1"/>
      <c r="G18" s="1"/>
      <c r="H18" s="1"/>
      <c r="I18" s="5"/>
      <c r="J18" s="1"/>
      <c r="K18" s="1"/>
      <c r="L18" s="7"/>
      <c r="M18" s="1"/>
    </row>
    <row r="19" spans="2:13" ht="12.75">
      <c r="B19" s="1"/>
      <c r="C19" s="1"/>
      <c r="D19" s="1"/>
      <c r="E19" s="6"/>
      <c r="F19" s="1"/>
      <c r="G19" s="1"/>
      <c r="H19" s="1"/>
      <c r="I19" s="5"/>
      <c r="J19" s="1"/>
      <c r="K19" s="1"/>
      <c r="L19" s="7"/>
      <c r="M19" s="1"/>
    </row>
    <row r="20" spans="2:13" ht="12.75">
      <c r="B20" s="1"/>
      <c r="C20" s="1"/>
      <c r="D20" s="1"/>
      <c r="E20" s="6"/>
      <c r="F20" s="1"/>
      <c r="G20" s="1"/>
      <c r="H20" s="1"/>
      <c r="I20" s="5"/>
      <c r="J20" s="1"/>
      <c r="K20" s="1"/>
      <c r="L20" s="7"/>
      <c r="M20" s="1"/>
    </row>
    <row r="21" spans="2:13" ht="12.75">
      <c r="B21" s="1"/>
      <c r="C21" s="1"/>
      <c r="D21" s="1"/>
      <c r="E21" s="6"/>
      <c r="F21" s="1"/>
      <c r="G21" s="1"/>
      <c r="H21" s="1"/>
      <c r="I21" s="5"/>
      <c r="J21" s="1"/>
      <c r="K21" s="1"/>
      <c r="L21" s="7"/>
      <c r="M21" s="1"/>
    </row>
    <row r="22" spans="1:13" ht="12.75">
      <c r="A22" s="1"/>
      <c r="B22" s="1"/>
      <c r="C22" s="1"/>
      <c r="D22" s="1"/>
      <c r="E22" s="6"/>
      <c r="F22" s="1"/>
      <c r="G22" s="1"/>
      <c r="H22" s="1"/>
      <c r="I22" s="5"/>
      <c r="J22" s="1"/>
      <c r="K22" s="1"/>
      <c r="L22" s="7"/>
      <c r="M22" s="1"/>
    </row>
    <row r="23" spans="1:13" ht="12.75">
      <c r="A23" s="1"/>
      <c r="B23" s="1"/>
      <c r="C23" s="1"/>
      <c r="D23" s="1"/>
      <c r="E23" s="6"/>
      <c r="F23" s="1"/>
      <c r="G23" s="1"/>
      <c r="H23" s="1"/>
      <c r="I23" s="5"/>
      <c r="J23" s="1"/>
      <c r="K23" s="1"/>
      <c r="L23" s="7"/>
      <c r="M23" s="1"/>
    </row>
    <row r="24" spans="1:13" ht="12.75">
      <c r="A24" s="1"/>
      <c r="B24" s="1"/>
      <c r="C24" s="1"/>
      <c r="D24" s="1"/>
      <c r="E24" s="6"/>
      <c r="F24" s="1"/>
      <c r="G24" s="1"/>
      <c r="H24" s="1"/>
      <c r="I24" s="5"/>
      <c r="J24" s="1"/>
      <c r="K24" s="1"/>
      <c r="L24" s="7"/>
      <c r="M24" s="1"/>
    </row>
    <row r="25" spans="1:13" ht="12.75">
      <c r="A25" s="1"/>
      <c r="B25" s="1"/>
      <c r="C25" s="1"/>
      <c r="D25" s="1"/>
      <c r="E25" s="6"/>
      <c r="F25" s="1"/>
      <c r="G25" s="1"/>
      <c r="H25" s="1"/>
      <c r="I25" s="5"/>
      <c r="J25" s="1"/>
      <c r="K25" s="1"/>
      <c r="L25" s="7"/>
      <c r="M25" s="1"/>
    </row>
    <row r="26" spans="1:13" ht="12.75">
      <c r="A26" s="1"/>
      <c r="B26" s="1"/>
      <c r="C26" s="1"/>
      <c r="D26" s="1"/>
      <c r="E26" s="6"/>
      <c r="F26" s="1"/>
      <c r="G26" s="1"/>
      <c r="H26" s="1"/>
      <c r="I26" s="5"/>
      <c r="J26" s="1"/>
      <c r="K26" s="1"/>
      <c r="L26" s="7"/>
      <c r="M26" s="1"/>
    </row>
    <row r="27" spans="1:33" ht="12.75">
      <c r="A27" s="1"/>
      <c r="B27" s="1"/>
      <c r="C27" s="1"/>
      <c r="D27" s="1"/>
      <c r="E27" s="6"/>
      <c r="F27" s="1"/>
      <c r="G27" s="1"/>
      <c r="H27" s="1"/>
      <c r="I27" s="5"/>
      <c r="J27" s="1"/>
      <c r="K27" s="1"/>
      <c r="L27" s="7"/>
      <c r="M27" s="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ht="12.75">
      <c r="A28" s="1"/>
      <c r="B28" s="1"/>
      <c r="C28" s="1"/>
      <c r="D28" s="1"/>
      <c r="E28" s="6"/>
      <c r="F28" s="1"/>
      <c r="G28" s="1"/>
      <c r="H28" s="1"/>
      <c r="I28" s="5"/>
      <c r="J28" s="1"/>
      <c r="K28" s="1"/>
      <c r="L28" s="7"/>
      <c r="M28" s="1"/>
      <c r="X28" s="30"/>
      <c r="Y28" s="30"/>
      <c r="Z28" s="11"/>
      <c r="AA28" s="11"/>
      <c r="AB28" s="11"/>
      <c r="AC28" s="11"/>
      <c r="AD28" s="11"/>
      <c r="AE28" s="11"/>
      <c r="AF28" s="11"/>
      <c r="AG28" s="11"/>
    </row>
    <row r="29" spans="1:33" ht="12.75">
      <c r="A29" s="1"/>
      <c r="B29" s="1"/>
      <c r="C29" s="1"/>
      <c r="D29" s="1"/>
      <c r="E29" s="6"/>
      <c r="F29" s="1"/>
      <c r="G29" s="1"/>
      <c r="H29" s="1"/>
      <c r="I29" s="5"/>
      <c r="J29" s="1"/>
      <c r="K29" s="1"/>
      <c r="L29" s="7"/>
      <c r="M29" s="1"/>
      <c r="X29" s="29"/>
      <c r="Y29" s="29"/>
      <c r="Z29" s="11"/>
      <c r="AA29" s="11"/>
      <c r="AB29" s="11"/>
      <c r="AC29" s="11"/>
      <c r="AD29" s="11"/>
      <c r="AE29" s="11"/>
      <c r="AF29" s="11"/>
      <c r="AG29" s="11"/>
    </row>
    <row r="30" spans="1:33" ht="12.75">
      <c r="A30" s="1"/>
      <c r="B30" s="1"/>
      <c r="C30" s="1"/>
      <c r="D30" s="1"/>
      <c r="E30" s="6"/>
      <c r="F30" s="1"/>
      <c r="G30" s="1"/>
      <c r="H30" s="1"/>
      <c r="I30" s="5"/>
      <c r="J30" s="1"/>
      <c r="K30" s="1"/>
      <c r="L30" s="7"/>
      <c r="M30" s="1"/>
      <c r="X30" s="29"/>
      <c r="Y30" s="29"/>
      <c r="Z30" s="11"/>
      <c r="AA30" s="11"/>
      <c r="AB30" s="11"/>
      <c r="AC30" s="11"/>
      <c r="AD30" s="11"/>
      <c r="AE30" s="11"/>
      <c r="AF30" s="11"/>
      <c r="AG30" s="11"/>
    </row>
    <row r="31" spans="1:33" ht="12.75">
      <c r="A31" s="1"/>
      <c r="B31" s="1"/>
      <c r="C31" s="1"/>
      <c r="D31" s="1"/>
      <c r="E31" s="6"/>
      <c r="F31" s="1"/>
      <c r="G31" s="1"/>
      <c r="H31" s="1"/>
      <c r="I31" s="5"/>
      <c r="J31" s="1"/>
      <c r="K31" s="1"/>
      <c r="L31" s="7"/>
      <c r="M31" s="1"/>
      <c r="X31" s="29"/>
      <c r="Y31" s="29"/>
      <c r="Z31" s="11"/>
      <c r="AA31" s="11"/>
      <c r="AB31" s="11"/>
      <c r="AC31" s="11"/>
      <c r="AD31" s="11"/>
      <c r="AE31" s="11"/>
      <c r="AF31" s="11"/>
      <c r="AG31" s="11"/>
    </row>
    <row r="32" spans="1:33" ht="12.75">
      <c r="A32" s="1"/>
      <c r="B32" s="1"/>
      <c r="C32" s="1"/>
      <c r="D32" s="1"/>
      <c r="E32" s="1"/>
      <c r="F32" s="1"/>
      <c r="G32" s="1"/>
      <c r="H32" s="1"/>
      <c r="I32" s="5"/>
      <c r="J32" s="1"/>
      <c r="K32" s="1"/>
      <c r="L32" s="7"/>
      <c r="M32" s="1"/>
      <c r="X32" s="29"/>
      <c r="Y32" s="29"/>
      <c r="Z32" s="11"/>
      <c r="AA32" s="11"/>
      <c r="AB32" s="11"/>
      <c r="AC32" s="11"/>
      <c r="AD32" s="11"/>
      <c r="AE32" s="11"/>
      <c r="AF32" s="11"/>
      <c r="AG32" s="11"/>
    </row>
    <row r="33" spans="1:33" ht="12.75">
      <c r="A33" s="1"/>
      <c r="B33" s="1"/>
      <c r="C33" s="1"/>
      <c r="D33" s="1"/>
      <c r="E33" s="1"/>
      <c r="F33" s="1"/>
      <c r="G33" s="1"/>
      <c r="H33" s="1"/>
      <c r="I33" s="5"/>
      <c r="J33" s="1"/>
      <c r="K33" s="1"/>
      <c r="L33" s="7"/>
      <c r="M33" s="1"/>
      <c r="X33" s="29"/>
      <c r="Y33" s="29"/>
      <c r="Z33" s="11"/>
      <c r="AA33" s="11"/>
      <c r="AB33" s="11"/>
      <c r="AC33" s="11"/>
      <c r="AD33" s="11"/>
      <c r="AE33" s="11"/>
      <c r="AF33" s="11"/>
      <c r="AG33" s="11"/>
    </row>
    <row r="34" spans="1:33" ht="12.75">
      <c r="A34" s="1"/>
      <c r="B34" s="1"/>
      <c r="C34" s="1"/>
      <c r="D34" s="1"/>
      <c r="E34" s="1"/>
      <c r="F34" s="1"/>
      <c r="G34" s="1"/>
      <c r="H34" s="1"/>
      <c r="I34" s="5"/>
      <c r="J34" s="1"/>
      <c r="K34" s="1"/>
      <c r="L34" s="7"/>
      <c r="M34" s="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24:33" ht="12.75"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24:33" ht="12.75">
      <c r="X36" s="31"/>
      <c r="Y36" s="31"/>
      <c r="Z36" s="31"/>
      <c r="AA36" s="31"/>
      <c r="AB36" s="31"/>
      <c r="AC36" s="31"/>
      <c r="AD36" s="11"/>
      <c r="AE36" s="11"/>
      <c r="AF36" s="11"/>
      <c r="AG36" s="11"/>
    </row>
    <row r="37" spans="24:33" ht="12.75">
      <c r="X37" s="29"/>
      <c r="Y37" s="29"/>
      <c r="Z37" s="29"/>
      <c r="AA37" s="29"/>
      <c r="AB37" s="29"/>
      <c r="AC37" s="29"/>
      <c r="AD37" s="11"/>
      <c r="AE37" s="11"/>
      <c r="AF37" s="11"/>
      <c r="AG37" s="11"/>
    </row>
    <row r="38" spans="24:33" ht="12.75">
      <c r="X38" s="29"/>
      <c r="Y38" s="29"/>
      <c r="Z38" s="29"/>
      <c r="AA38" s="29"/>
      <c r="AB38" s="29"/>
      <c r="AC38" s="29"/>
      <c r="AD38" s="11"/>
      <c r="AE38" s="11"/>
      <c r="AF38" s="11"/>
      <c r="AG38" s="11"/>
    </row>
    <row r="39" spans="24:33" ht="12.75">
      <c r="X39" s="29"/>
      <c r="Y39" s="29"/>
      <c r="Z39" s="29"/>
      <c r="AA39" s="29"/>
      <c r="AB39" s="29"/>
      <c r="AC39" s="29"/>
      <c r="AD39" s="11"/>
      <c r="AE39" s="11"/>
      <c r="AF39" s="11"/>
      <c r="AG39" s="11"/>
    </row>
    <row r="40" spans="24:33" ht="12.75"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24:33" ht="12.75">
      <c r="X41" s="31"/>
      <c r="Y41" s="31"/>
      <c r="Z41" s="31"/>
      <c r="AA41" s="31"/>
      <c r="AB41" s="31"/>
      <c r="AC41" s="31"/>
      <c r="AD41" s="31"/>
      <c r="AE41" s="31"/>
      <c r="AF41" s="31"/>
      <c r="AG41" s="11"/>
    </row>
    <row r="42" spans="24:33" ht="12.75">
      <c r="X42" s="29"/>
      <c r="Y42" s="29"/>
      <c r="Z42" s="29"/>
      <c r="AA42" s="29"/>
      <c r="AB42" s="29"/>
      <c r="AC42" s="29"/>
      <c r="AD42" s="29"/>
      <c r="AE42" s="29"/>
      <c r="AF42" s="29"/>
      <c r="AG42" s="11"/>
    </row>
    <row r="43" spans="24:33" ht="12.75">
      <c r="X43" s="29"/>
      <c r="Y43" s="29"/>
      <c r="Z43" s="29"/>
      <c r="AA43" s="29"/>
      <c r="AB43" s="29"/>
      <c r="AC43" s="29"/>
      <c r="AD43" s="29"/>
      <c r="AE43" s="29"/>
      <c r="AF43" s="29"/>
      <c r="AG43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University of Ireland, Galway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Lactate Analysis Plugin</dc:title>
  <dc:subject>Calculates Lactate Endurance Markers Using a Variety of Methods</dc:subject>
  <dc:creator>David Higgins</dc:creator>
  <cp:keywords>fbla, tem, initial rise, dmax, lactate threshold, log-log</cp:keywords>
  <dc:description/>
  <cp:lastModifiedBy>John Newell</cp:lastModifiedBy>
  <dcterms:created xsi:type="dcterms:W3CDTF">2004-11-16T12:12:10Z</dcterms:created>
  <dcterms:modified xsi:type="dcterms:W3CDTF">2006-09-13T11:18:51Z</dcterms:modified>
  <cp:category/>
  <cp:version/>
  <cp:contentType/>
  <cp:contentStatus/>
</cp:coreProperties>
</file>